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1"/>
  </bookViews>
  <sheets>
    <sheet name="Dados de Entrada" sheetId="1" r:id="rId1"/>
    <sheet name="Traço" sheetId="2" r:id="rId2"/>
    <sheet name="Plan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Cedido por Magus Oldman</author>
  </authors>
  <commentList>
    <comment ref="B20" authorId="0">
      <text>
        <r>
          <rPr>
            <b/>
            <sz val="8"/>
            <rFont val="Tahoma"/>
            <family val="0"/>
          </rPr>
          <t xml:space="preserve">
Usar apenas para concreto 
com  fcm &gt; 50 MPa</t>
        </r>
        <r>
          <rPr>
            <sz val="8"/>
            <rFont val="Tahoma"/>
            <family val="0"/>
          </rPr>
          <t xml:space="preserve">
</t>
        </r>
      </text>
    </comment>
    <comment ref="B25" authorId="0">
      <text>
        <r>
          <rPr>
            <sz val="8"/>
            <rFont val="Tahoma"/>
            <family val="0"/>
          </rPr>
          <t>Água Total  = ( Água Total /Ligante) x (Ligante Total)</t>
        </r>
      </text>
    </comment>
    <comment ref="C25" authorId="0">
      <text>
        <r>
          <rPr>
            <sz val="8"/>
            <rFont val="Tahoma"/>
            <family val="2"/>
          </rPr>
          <t xml:space="preserve">Planilha  3 =  Água Total  x fc </t>
        </r>
        <r>
          <rPr>
            <sz val="8"/>
            <rFont val="Tahoma"/>
            <family val="0"/>
          </rPr>
          <t xml:space="preserve">
</t>
        </r>
      </text>
    </comment>
    <comment ref="B26" authorId="0">
      <text>
        <r>
          <rPr>
            <sz val="8"/>
            <rFont val="Tahoma"/>
            <family val="2"/>
          </rPr>
          <t>Considerando 10% de microsílica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10% do peso de cimento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<sst xmlns="http://schemas.openxmlformats.org/spreadsheetml/2006/main" count="102" uniqueCount="86">
  <si>
    <t>Dosagem de Concreto  de Alto  Desempenho  usando estatísticamente os traços já executados e divulgados na literatura técnica.</t>
  </si>
  <si>
    <t>MPa</t>
  </si>
  <si>
    <t xml:space="preserve">Cálculos  iniciais </t>
  </si>
  <si>
    <t xml:space="preserve">                                                                                                                                                                                                                            </t>
  </si>
  <si>
    <t>Água Total / Ligante Total =</t>
  </si>
  <si>
    <t>&lt;&lt;  Figura 1  = Ver Planilha 2  Coef. Correlação   R = 0,82</t>
  </si>
  <si>
    <t>Ligante Total (kg/m3)  =</t>
  </si>
  <si>
    <t xml:space="preserve">&lt;&lt;  Figura 2 = Ver Planilha 4  Coef. Correlaçaõ   R= 0,64 </t>
  </si>
  <si>
    <t>Água total ( kg/m3) =</t>
  </si>
  <si>
    <t xml:space="preserve">&lt;&lt; Figura 3 = Ver Planilha 3 Coef. Correlação R=0,59 </t>
  </si>
  <si>
    <t xml:space="preserve">Cimento ( kg/m3 ) = </t>
  </si>
  <si>
    <t>microsílica ( kg/m3) =</t>
  </si>
  <si>
    <t>Agregado Total (kg/m3) =</t>
  </si>
  <si>
    <t xml:space="preserve">&lt;&lt; Figura 4 = Ver planilha  5   </t>
  </si>
  <si>
    <t xml:space="preserve">&lt;&lt; Ver Planilha 7 </t>
  </si>
  <si>
    <t xml:space="preserve">Relação Pedra / Areia = </t>
  </si>
  <si>
    <t>&lt;&lt; Figura 6 =Ver planilha 6  coef.Correlação = 0,153</t>
  </si>
  <si>
    <t>Coef.Correlação=0,08</t>
  </si>
  <si>
    <t xml:space="preserve">Agregado graúdo( kg/m3) = </t>
  </si>
  <si>
    <t>Areia ( kg/m3)=</t>
  </si>
  <si>
    <t xml:space="preserve">Peso total  (kg/m3)  = </t>
  </si>
  <si>
    <t xml:space="preserve">Superplastificante x Ligante total ,  Litros/m3 = </t>
  </si>
  <si>
    <t>&lt;&lt;&lt; Fig 7 = Ver planilha  8  Coef. Correlação  R=0,48</t>
  </si>
  <si>
    <t xml:space="preserve">Superplastificante x fc ,   Litros/m3 = </t>
  </si>
  <si>
    <t>&lt;&lt;&lt; Fig 8 = Ver planilha  9  Coef. correlação  R=0,75</t>
  </si>
  <si>
    <t xml:space="preserve">Superplastificante x ( ägua / ligantes ),   Litros/m3 = </t>
  </si>
  <si>
    <t xml:space="preserve">&lt;&lt;&lt; Fig 9 = Ver planilha 10 Coef. correlação  R= 0,68 </t>
  </si>
  <si>
    <t xml:space="preserve">Traço  Tentativa ( kg /m3 ) com Agregados Secos </t>
  </si>
  <si>
    <t xml:space="preserve">CONCRETO COM  SEIXO ROLADO </t>
  </si>
  <si>
    <t xml:space="preserve">Cimento = </t>
  </si>
  <si>
    <t>Microsílica =</t>
  </si>
  <si>
    <t>Água total ( já incluida a do SP )  =</t>
  </si>
  <si>
    <t>Água total ( já incluida a do SP )   =</t>
  </si>
  <si>
    <t>Areia =</t>
  </si>
  <si>
    <t xml:space="preserve">Peso total = </t>
  </si>
  <si>
    <t>Ajustar  o traço experimentalmente !</t>
  </si>
  <si>
    <t>Parcela ( % em peso) de pedra substituida por argamassa</t>
  </si>
  <si>
    <t>%</t>
  </si>
  <si>
    <t>Volume de pedra ( litros ) retirado</t>
  </si>
  <si>
    <t>peso retirado (kg)</t>
  </si>
  <si>
    <t>retirado</t>
  </si>
  <si>
    <t xml:space="preserve">Argamassa feita com 1,0 kg de cimento </t>
  </si>
  <si>
    <t>densidade</t>
  </si>
  <si>
    <t>peso  ( kg )</t>
  </si>
  <si>
    <t>volume (litros)</t>
  </si>
  <si>
    <t>adicionar  (kg)</t>
  </si>
  <si>
    <t>cimento ( 1,0 kg )</t>
  </si>
  <si>
    <t>cimento ( kg )</t>
  </si>
  <si>
    <t>microsilica ( kg )</t>
  </si>
  <si>
    <t xml:space="preserve">microsilica  ( kg ) </t>
  </si>
  <si>
    <t>água ( kg )</t>
  </si>
  <si>
    <t xml:space="preserve">areia  ( kg ) </t>
  </si>
  <si>
    <t>densidade da argamassa</t>
  </si>
  <si>
    <t>argamassa ( kg )</t>
  </si>
  <si>
    <t>Peso da argamassa com 1 kg de cimento</t>
  </si>
  <si>
    <t>Litros de argamassa por kg de cimento</t>
  </si>
  <si>
    <t>Peso especifico da argamassa</t>
  </si>
  <si>
    <t>Acréscimo de argamassa em kilogramas</t>
  </si>
  <si>
    <t>argamassa em litros</t>
  </si>
  <si>
    <r>
      <t xml:space="preserve">Segundo a NBR 12655 / 1996 :  </t>
    </r>
    <r>
      <rPr>
        <b/>
        <sz val="10"/>
        <rFont val="Arial"/>
        <family val="2"/>
      </rPr>
      <t>fc.médio = fck+ 6,6 MPa</t>
    </r>
  </si>
  <si>
    <r>
      <t xml:space="preserve">Entrar :Teor ( Microsílica /  Cimento ) em %  &gt;&gt; </t>
    </r>
    <r>
      <rPr>
        <sz val="8"/>
        <rFont val="Arial"/>
        <family val="2"/>
      </rPr>
      <t xml:space="preserve">  </t>
    </r>
  </si>
  <si>
    <t xml:space="preserve">  Entrar :  fc.médio (MPa) = fck (Mpa) + 6,6   &gt;&gt; </t>
  </si>
  <si>
    <t>&lt;&lt;  Usar menor que 10%</t>
  </si>
  <si>
    <t>&lt;&lt; usual é 2%</t>
  </si>
  <si>
    <t>TRAÇO FINAL</t>
  </si>
  <si>
    <t xml:space="preserve">ENTRAR a ( % ) da pedra a substituir por argamassa  &gt;&gt; </t>
  </si>
  <si>
    <t>Pedra britada =</t>
  </si>
  <si>
    <t xml:space="preserve">Seixos rolados = </t>
  </si>
  <si>
    <r>
      <t>SP</t>
    </r>
    <r>
      <rPr>
        <sz val="10"/>
        <rFont val="Arial"/>
        <family val="2"/>
      </rPr>
      <t xml:space="preserve"> =Superplastificante   (litro/m3) =</t>
    </r>
  </si>
  <si>
    <t>CONCRETO COM PEDRA BRITADA</t>
  </si>
  <si>
    <t>Superplastificante ( litro/m3 )=</t>
  </si>
  <si>
    <t xml:space="preserve">água a descontar  =  </t>
  </si>
  <si>
    <t>kg/m3 concreto</t>
  </si>
  <si>
    <r>
      <t>&lt;&lt;&lt;   Água Total</t>
    </r>
    <r>
      <rPr>
        <b/>
        <sz val="14"/>
        <color indexed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 xml:space="preserve">= </t>
    </r>
    <r>
      <rPr>
        <b/>
        <sz val="10"/>
        <color indexed="12"/>
        <rFont val="Arial"/>
        <family val="2"/>
      </rPr>
      <t xml:space="preserve">Água adicionada   </t>
    </r>
    <r>
      <rPr>
        <sz val="14"/>
        <color indexed="12"/>
        <rFont val="Arial"/>
        <family val="2"/>
      </rPr>
      <t>+</t>
    </r>
    <r>
      <rPr>
        <b/>
        <sz val="10"/>
        <color indexed="12"/>
        <rFont val="Arial"/>
        <family val="2"/>
      </rPr>
      <t xml:space="preserve">  Água contida na areia </t>
    </r>
    <r>
      <rPr>
        <sz val="14"/>
        <color indexed="12"/>
        <rFont val="Arial"/>
        <family val="2"/>
      </rPr>
      <t>+</t>
    </r>
    <r>
      <rPr>
        <b/>
        <sz val="10"/>
        <color indexed="12"/>
        <rFont val="Arial"/>
        <family val="2"/>
      </rPr>
      <t xml:space="preserve">  Água contida na pedra </t>
    </r>
    <r>
      <rPr>
        <sz val="14"/>
        <color indexed="12"/>
        <rFont val="Arial"/>
        <family val="2"/>
      </rPr>
      <t>+</t>
    </r>
    <r>
      <rPr>
        <b/>
        <sz val="10"/>
        <color indexed="12"/>
        <rFont val="Arial"/>
        <family val="2"/>
      </rPr>
      <t xml:space="preserve"> Água do superplastificante</t>
    </r>
  </si>
  <si>
    <t xml:space="preserve">Cálculos intermediários </t>
  </si>
  <si>
    <t>litros/m3 concreto</t>
  </si>
  <si>
    <t xml:space="preserve">Água corrigida a ser realmente  adicionada à mistura = </t>
  </si>
  <si>
    <t xml:space="preserve">Para melhorar a Trabalhabilidade do Concreto substituir pedra britsda por argamassa </t>
  </si>
  <si>
    <r>
      <t xml:space="preserve">ENTRAR     </t>
    </r>
    <r>
      <rPr>
        <sz val="9"/>
        <color indexed="8"/>
        <rFont val="Arial"/>
        <family val="2"/>
      </rPr>
      <t xml:space="preserve">Umidade na areia (%)  </t>
    </r>
    <r>
      <rPr>
        <b/>
        <sz val="14"/>
        <color indexed="8"/>
        <rFont val="Arial"/>
        <family val="2"/>
      </rPr>
      <t>&gt;&gt;</t>
    </r>
  </si>
  <si>
    <r>
      <t xml:space="preserve">ENTRAR      </t>
    </r>
    <r>
      <rPr>
        <sz val="9"/>
        <color indexed="8"/>
        <rFont val="Arial"/>
        <family val="2"/>
      </rPr>
      <t xml:space="preserve">Umidade da pedra (%)  </t>
    </r>
    <r>
      <rPr>
        <b/>
        <sz val="14"/>
        <color indexed="8"/>
        <rFont val="Arial"/>
        <family val="2"/>
      </rPr>
      <t>&gt;&gt;</t>
    </r>
  </si>
  <si>
    <r>
      <t xml:space="preserve">ENTRAR  </t>
    </r>
    <r>
      <rPr>
        <sz val="9"/>
        <color indexed="8"/>
        <rFont val="Arial"/>
        <family val="2"/>
      </rPr>
      <t xml:space="preserve"> Água no Superplastificante ( % ) </t>
    </r>
    <r>
      <rPr>
        <b/>
        <sz val="14"/>
        <color indexed="8"/>
        <rFont val="Arial"/>
        <family val="2"/>
      </rPr>
      <t>&gt;&gt;</t>
    </r>
  </si>
  <si>
    <r>
      <t xml:space="preserve">&gt;&gt;&gt;  </t>
    </r>
    <r>
      <rPr>
        <sz val="9"/>
        <color indexed="8"/>
        <rFont val="Arial"/>
        <family val="2"/>
      </rPr>
      <t xml:space="preserve">      Água contida na areia  =</t>
    </r>
  </si>
  <si>
    <r>
      <t xml:space="preserve">&gt;&gt;&gt;    </t>
    </r>
    <r>
      <rPr>
        <sz val="9"/>
        <color indexed="8"/>
        <rFont val="Arial"/>
        <family val="2"/>
      </rPr>
      <t xml:space="preserve"> Àgua contida na pedra  =</t>
    </r>
  </si>
  <si>
    <r>
      <t>&gt;&gt;&gt;</t>
    </r>
    <r>
      <rPr>
        <sz val="9"/>
        <color indexed="8"/>
        <rFont val="Arial"/>
        <family val="2"/>
      </rPr>
      <t xml:space="preserve">   Água contida no superplastificante 60% =</t>
    </r>
  </si>
  <si>
    <t>kg/m3 de concreto</t>
  </si>
  <si>
    <t xml:space="preserve">EXEMPLO 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</si>
</sst>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</numFmts>
  <fonts count="68">
    <font>
      <sz val="10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8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56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8"/>
      <name val="Arial"/>
      <family val="2"/>
    </font>
    <font>
      <b/>
      <sz val="12"/>
      <color indexed="48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56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5" borderId="10" xfId="0" applyFill="1" applyBorder="1" applyAlignment="1">
      <alignment horizontal="right"/>
    </xf>
    <xf numFmtId="1" fontId="0" fillId="35" borderId="10" xfId="0" applyNumberForma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35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0" fontId="1" fillId="35" borderId="10" xfId="0" applyFont="1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179" fontId="0" fillId="35" borderId="10" xfId="0" applyNumberForma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178" fontId="4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179" fontId="4" fillId="35" borderId="10" xfId="0" applyNumberFormat="1" applyFont="1" applyFill="1" applyBorder="1" applyAlignment="1">
      <alignment horizontal="center"/>
    </xf>
    <xf numFmtId="179" fontId="0" fillId="35" borderId="10" xfId="0" applyNumberForma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179" fontId="2" fillId="35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2" fontId="8" fillId="35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8" xfId="0" applyFill="1" applyBorder="1" applyAlignment="1">
      <alignment horizontal="right"/>
    </xf>
    <xf numFmtId="2" fontId="0" fillId="35" borderId="18" xfId="0" applyNumberForma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8" fillId="35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78" fontId="13" fillId="35" borderId="10" xfId="0" applyNumberFormat="1" applyFont="1" applyFill="1" applyBorder="1" applyAlignment="1">
      <alignment horizontal="center"/>
    </xf>
    <xf numFmtId="0" fontId="0" fillId="35" borderId="23" xfId="0" applyFill="1" applyBorder="1" applyAlignment="1">
      <alignment/>
    </xf>
    <xf numFmtId="178" fontId="0" fillId="0" borderId="0" xfId="0" applyNumberFormat="1" applyAlignment="1">
      <alignment horizontal="center"/>
    </xf>
    <xf numFmtId="0" fontId="1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8" fontId="3" fillId="0" borderId="24" xfId="0" applyNumberFormat="1" applyFont="1" applyFill="1" applyBorder="1" applyAlignment="1">
      <alignment horizontal="center"/>
    </xf>
    <xf numFmtId="178" fontId="3" fillId="0" borderId="25" xfId="0" applyNumberFormat="1" applyFont="1" applyFill="1" applyBorder="1" applyAlignment="1">
      <alignment horizontal="center"/>
    </xf>
    <xf numFmtId="178" fontId="3" fillId="35" borderId="10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right"/>
    </xf>
    <xf numFmtId="183" fontId="14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22" fillId="35" borderId="16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7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7" fillId="37" borderId="10" xfId="0" applyFont="1" applyFill="1" applyBorder="1" applyAlignment="1">
      <alignment horizontal="right"/>
    </xf>
    <xf numFmtId="0" fontId="27" fillId="37" borderId="1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" fontId="28" fillId="37" borderId="10" xfId="0" applyNumberFormat="1" applyFont="1" applyFill="1" applyBorder="1" applyAlignment="1">
      <alignment horizontal="center"/>
    </xf>
    <xf numFmtId="0" fontId="28" fillId="37" borderId="10" xfId="0" applyFont="1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0" fontId="16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3" fillId="0" borderId="24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1" fillId="37" borderId="24" xfId="0" applyFont="1" applyFill="1" applyBorder="1" applyAlignment="1">
      <alignment horizontal="right"/>
    </xf>
    <xf numFmtId="1" fontId="21" fillId="37" borderId="10" xfId="0" applyNumberFormat="1" applyFont="1" applyFill="1" applyBorder="1" applyAlignment="1">
      <alignment horizontal="center"/>
    </xf>
    <xf numFmtId="1" fontId="20" fillId="37" borderId="10" xfId="0" applyNumberFormat="1" applyFont="1" applyFill="1" applyBorder="1" applyAlignment="1">
      <alignment horizontal="center"/>
    </xf>
    <xf numFmtId="178" fontId="29" fillId="37" borderId="10" xfId="0" applyNumberFormat="1" applyFont="1" applyFill="1" applyBorder="1" applyAlignment="1">
      <alignment horizontal="center"/>
    </xf>
    <xf numFmtId="1" fontId="17" fillId="38" borderId="1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178" fontId="23" fillId="36" borderId="10" xfId="0" applyNumberFormat="1" applyFont="1" applyFill="1" applyBorder="1" applyAlignment="1">
      <alignment horizontal="center"/>
    </xf>
    <xf numFmtId="0" fontId="23" fillId="36" borderId="10" xfId="0" applyFont="1" applyFill="1" applyBorder="1" applyAlignment="1">
      <alignment horizontal="center"/>
    </xf>
    <xf numFmtId="0" fontId="31" fillId="37" borderId="10" xfId="0" applyFont="1" applyFill="1" applyBorder="1" applyAlignment="1">
      <alignment horizontal="right"/>
    </xf>
    <xf numFmtId="1" fontId="17" fillId="37" borderId="10" xfId="0" applyNumberFormat="1" applyFont="1" applyFill="1" applyBorder="1" applyAlignment="1">
      <alignment horizontal="center"/>
    </xf>
    <xf numFmtId="0" fontId="17" fillId="37" borderId="10" xfId="0" applyFont="1" applyFill="1" applyBorder="1" applyAlignment="1">
      <alignment/>
    </xf>
    <xf numFmtId="0" fontId="23" fillId="36" borderId="2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28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30" fillId="36" borderId="10" xfId="0" applyFont="1" applyFill="1" applyBorder="1" applyAlignment="1">
      <alignment horizontal="right"/>
    </xf>
    <xf numFmtId="1" fontId="30" fillId="36" borderId="10" xfId="0" applyNumberFormat="1" applyFont="1" applyFill="1" applyBorder="1" applyAlignment="1">
      <alignment horizontal="right"/>
    </xf>
    <xf numFmtId="1" fontId="1" fillId="38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0</xdr:rowOff>
    </xdr:from>
    <xdr:to>
      <xdr:col>13</xdr:col>
      <xdr:colOff>447675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23850"/>
          <a:ext cx="7753350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19050</xdr:rowOff>
    </xdr:from>
    <xdr:to>
      <xdr:col>5</xdr:col>
      <xdr:colOff>161925</xdr:colOff>
      <xdr:row>14</xdr:row>
      <xdr:rowOff>542925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10877550" cy="3381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7">
      <selection activeCell="E30" sqref="E30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78"/>
  <sheetViews>
    <sheetView tabSelected="1" zoomScalePageLayoutView="0" workbookViewId="0" topLeftCell="A1">
      <selection activeCell="D51" sqref="D51"/>
    </sheetView>
  </sheetViews>
  <sheetFormatPr defaultColWidth="9.140625" defaultRowHeight="12.75"/>
  <cols>
    <col min="1" max="1" width="60.8515625" style="0" customWidth="1"/>
    <col min="2" max="2" width="20.8515625" style="0" customWidth="1"/>
    <col min="3" max="3" width="17.7109375" style="0" customWidth="1"/>
    <col min="4" max="4" width="40.421875" style="0" customWidth="1"/>
    <col min="5" max="5" width="22.421875" style="0" customWidth="1"/>
    <col min="6" max="6" width="39.8515625" style="0" customWidth="1"/>
    <col min="8" max="8" width="11.8515625" style="0" customWidth="1"/>
    <col min="9" max="9" width="15.7109375" style="0" customWidth="1"/>
    <col min="10" max="10" width="20.140625" style="0" customWidth="1"/>
  </cols>
  <sheetData>
    <row r="3" ht="18">
      <c r="B3" s="120" t="s">
        <v>85</v>
      </c>
    </row>
    <row r="4" ht="59.25" customHeight="1"/>
    <row r="5" ht="41.25" customHeight="1"/>
    <row r="14" ht="22.5" customHeight="1"/>
    <row r="15" ht="63.75" customHeight="1"/>
    <row r="16" ht="12.75">
      <c r="A16" t="s">
        <v>0</v>
      </c>
    </row>
    <row r="18" ht="12.75">
      <c r="A18" t="s">
        <v>59</v>
      </c>
    </row>
    <row r="20" spans="1:3" ht="18">
      <c r="A20" s="1" t="s">
        <v>61</v>
      </c>
      <c r="B20" s="62">
        <v>80</v>
      </c>
      <c r="C20" s="121" t="s">
        <v>1</v>
      </c>
    </row>
    <row r="21" spans="1:3" ht="18">
      <c r="A21" s="73" t="s">
        <v>60</v>
      </c>
      <c r="B21" s="62">
        <v>5</v>
      </c>
      <c r="C21" t="s">
        <v>62</v>
      </c>
    </row>
    <row r="22" spans="2:4" ht="12.75">
      <c r="B22" s="72" t="s">
        <v>2</v>
      </c>
      <c r="D22" t="s">
        <v>3</v>
      </c>
    </row>
    <row r="23" spans="1:5" ht="12.75">
      <c r="A23" s="2" t="s">
        <v>4</v>
      </c>
      <c r="B23" s="3">
        <f>7.0001*B20^(-0.7126)</f>
        <v>0.30829204562009</v>
      </c>
      <c r="C23" s="4" t="s">
        <v>5</v>
      </c>
      <c r="D23" s="4"/>
      <c r="E23" s="4"/>
    </row>
    <row r="24" spans="1:5" ht="12.75">
      <c r="A24" s="5" t="s">
        <v>6</v>
      </c>
      <c r="B24" s="70">
        <f>195.96*LN(B20)-364.65</f>
        <v>494.0519393306938</v>
      </c>
      <c r="C24" s="4" t="s">
        <v>7</v>
      </c>
      <c r="D24" s="4"/>
      <c r="E24" s="4"/>
    </row>
    <row r="25" spans="1:5" ht="12.75">
      <c r="A25" s="5" t="s">
        <v>8</v>
      </c>
      <c r="B25" s="71">
        <f>B24*B23</f>
        <v>152.3122830188322</v>
      </c>
      <c r="C25" s="63">
        <f>388.88-54.523*LN(B20)</f>
        <v>149.95876179767595</v>
      </c>
      <c r="D25" s="4" t="s">
        <v>9</v>
      </c>
      <c r="E25" s="4"/>
    </row>
    <row r="26" spans="1:5" ht="12.75">
      <c r="A26" s="5" t="s">
        <v>10</v>
      </c>
      <c r="B26" s="69">
        <f>B24/(1+B21/100)</f>
        <v>470.52565650542266</v>
      </c>
      <c r="C26" s="4"/>
      <c r="D26" s="4"/>
      <c r="E26" s="4"/>
    </row>
    <row r="27" spans="1:5" ht="12.75">
      <c r="A27" s="5" t="s">
        <v>11</v>
      </c>
      <c r="B27" s="12">
        <f>B24-B26</f>
        <v>23.526282825271153</v>
      </c>
      <c r="C27" s="4"/>
      <c r="D27" s="4"/>
      <c r="E27" s="4"/>
    </row>
    <row r="28" spans="1:6" ht="12.75">
      <c r="A28" s="5" t="s">
        <v>12</v>
      </c>
      <c r="B28" s="6">
        <f>1810.9-0.205*B20</f>
        <v>1794.5</v>
      </c>
      <c r="C28" s="8" t="s">
        <v>13</v>
      </c>
      <c r="D28" s="4"/>
      <c r="E28" s="7">
        <f>1000*(0.6952-0.0001*B20)*2.65</f>
        <v>1821.0800000000002</v>
      </c>
      <c r="F28" s="4" t="s">
        <v>14</v>
      </c>
    </row>
    <row r="29" spans="1:6" ht="12.75">
      <c r="A29" s="5" t="s">
        <v>15</v>
      </c>
      <c r="B29" s="3">
        <f>1.0822+0.0128*B20-0.000086*POWER(B20,2)</f>
        <v>1.5558000000000003</v>
      </c>
      <c r="C29" s="4" t="s">
        <v>16</v>
      </c>
      <c r="D29" s="4"/>
      <c r="E29" s="4">
        <f>1.613-0.001*B20</f>
        <v>1.533</v>
      </c>
      <c r="F29" s="4" t="s">
        <v>17</v>
      </c>
    </row>
    <row r="30" spans="1:5" ht="12.75">
      <c r="A30" s="5" t="s">
        <v>18</v>
      </c>
      <c r="B30" s="6">
        <f>B28/(1+1/B29)</f>
        <v>1092.3715079427186</v>
      </c>
      <c r="C30" s="4"/>
      <c r="D30" s="4"/>
      <c r="E30" s="4"/>
    </row>
    <row r="31" spans="1:5" ht="12.75">
      <c r="A31" s="5" t="s">
        <v>19</v>
      </c>
      <c r="B31" s="6">
        <f>B28-B30</f>
        <v>702.1284920572814</v>
      </c>
      <c r="C31" s="9"/>
      <c r="D31" s="4"/>
      <c r="E31" s="4"/>
    </row>
    <row r="32" spans="1:5" ht="12.75">
      <c r="A32" s="10" t="s">
        <v>20</v>
      </c>
      <c r="B32" s="6">
        <f>B25+B26+B27+B30+B31</f>
        <v>2440.8642223495262</v>
      </c>
      <c r="C32" s="4"/>
      <c r="D32" s="4"/>
      <c r="E32" s="4"/>
    </row>
    <row r="33" spans="1:4" ht="12.75">
      <c r="A33" s="11" t="s">
        <v>21</v>
      </c>
      <c r="B33" s="12">
        <f>IF(-30.509+0.0792*B24&gt;=0,-30.509+0.0792*B24,0)</f>
        <v>8.619913594990955</v>
      </c>
      <c r="C33" s="13" t="s">
        <v>22</v>
      </c>
      <c r="D33" s="13"/>
    </row>
    <row r="34" spans="1:4" ht="12.75">
      <c r="A34" s="11" t="s">
        <v>23</v>
      </c>
      <c r="B34" s="12">
        <f>IF(0.2455*B20-11.16&gt;=0,0.2455*B20-11.16,0)</f>
        <v>8.48</v>
      </c>
      <c r="C34" s="13" t="s">
        <v>24</v>
      </c>
      <c r="D34" s="13"/>
    </row>
    <row r="35" spans="1:4" ht="12.75">
      <c r="A35" s="11" t="s">
        <v>25</v>
      </c>
      <c r="B35" s="12">
        <f>IF(-22.208*LN(B23)-17.763&gt;=0,-22.208*LN(B23)-17.763,0)</f>
        <v>8.369325605424887</v>
      </c>
      <c r="C35" s="13" t="s">
        <v>26</v>
      </c>
      <c r="D35" s="13"/>
    </row>
    <row r="36" spans="2:3" ht="12.75">
      <c r="B36" s="14"/>
      <c r="C36" s="14"/>
    </row>
    <row r="37" spans="2:3" ht="12.75">
      <c r="B37" s="14" t="s">
        <v>27</v>
      </c>
      <c r="C37" s="14"/>
    </row>
    <row r="38" spans="1:8" ht="20.25" customHeight="1">
      <c r="A38" s="15"/>
      <c r="B38" s="24" t="s">
        <v>28</v>
      </c>
      <c r="C38" s="16"/>
      <c r="D38" s="68"/>
      <c r="E38" s="67"/>
      <c r="F38" s="31"/>
      <c r="H38" s="18"/>
    </row>
    <row r="39" spans="1:8" ht="12.75">
      <c r="A39" s="86" t="s">
        <v>29</v>
      </c>
      <c r="B39" s="20">
        <f>B26</f>
        <v>470.52565650542266</v>
      </c>
      <c r="D39" s="19"/>
      <c r="E39" s="21"/>
      <c r="G39" s="26"/>
      <c r="H39" s="18"/>
    </row>
    <row r="40" spans="1:5" ht="12.75">
      <c r="A40" s="86" t="s">
        <v>30</v>
      </c>
      <c r="B40" s="20">
        <f>B27</f>
        <v>23.526282825271153</v>
      </c>
      <c r="D40" s="19"/>
      <c r="E40" s="21"/>
    </row>
    <row r="41" spans="1:7" ht="12.75">
      <c r="A41" s="86" t="s">
        <v>31</v>
      </c>
      <c r="B41" s="20">
        <f>B25</f>
        <v>152.3122830188322</v>
      </c>
      <c r="D41" s="23"/>
      <c r="E41" s="21"/>
      <c r="F41" s="24"/>
      <c r="G41" s="66"/>
    </row>
    <row r="42" spans="1:8" ht="12.75">
      <c r="A42" s="86" t="s">
        <v>33</v>
      </c>
      <c r="B42" s="20">
        <f>B31</f>
        <v>702.1284920572814</v>
      </c>
      <c r="C42" s="25"/>
      <c r="D42" s="19"/>
      <c r="E42" s="21"/>
      <c r="F42" s="26"/>
      <c r="G42" s="66"/>
      <c r="H42" s="27"/>
    </row>
    <row r="43" spans="1:7" ht="15.75">
      <c r="A43" s="87" t="s">
        <v>67</v>
      </c>
      <c r="B43" s="29">
        <f>B30</f>
        <v>1092.3715079427186</v>
      </c>
      <c r="C43" s="25"/>
      <c r="D43" s="28"/>
      <c r="E43" s="21"/>
      <c r="F43" s="24"/>
      <c r="G43" s="66"/>
    </row>
    <row r="44" spans="1:7" ht="12.75">
      <c r="A44" s="86" t="s">
        <v>34</v>
      </c>
      <c r="B44" s="20">
        <f>B32</f>
        <v>2440.8642223495262</v>
      </c>
      <c r="D44" s="19"/>
      <c r="E44" s="21"/>
      <c r="F44" s="26"/>
      <c r="G44" s="66"/>
    </row>
    <row r="45" spans="1:7" ht="15">
      <c r="A45" s="87" t="s">
        <v>68</v>
      </c>
      <c r="B45" s="64">
        <f>MAX(B33:B35)</f>
        <v>8.619913594990955</v>
      </c>
      <c r="D45" s="19"/>
      <c r="E45" s="74"/>
      <c r="F45" s="24"/>
      <c r="G45" s="26"/>
    </row>
    <row r="46" spans="3:6" ht="12.75">
      <c r="C46" s="68"/>
      <c r="F46" s="22"/>
    </row>
    <row r="47" spans="3:6" ht="12.75">
      <c r="C47" s="17"/>
      <c r="F47" s="22"/>
    </row>
    <row r="48" spans="2:6" ht="18.75" customHeight="1">
      <c r="B48" s="88" t="s">
        <v>69</v>
      </c>
      <c r="C48" s="17"/>
      <c r="F48" s="22"/>
    </row>
    <row r="49" spans="1:6" ht="16.5" thickBot="1">
      <c r="A49" s="82"/>
      <c r="B49" s="118" t="s">
        <v>77</v>
      </c>
      <c r="C49" s="17"/>
      <c r="F49" s="22"/>
    </row>
    <row r="50" spans="1:6" ht="18.75" thickBot="1">
      <c r="A50" s="117" t="s">
        <v>65</v>
      </c>
      <c r="B50" s="119">
        <v>2</v>
      </c>
      <c r="C50" s="122" t="s">
        <v>63</v>
      </c>
      <c r="D50" s="123"/>
      <c r="F50" s="22"/>
    </row>
    <row r="51" spans="1:6" s="104" customFormat="1" ht="15.75">
      <c r="A51" s="101"/>
      <c r="B51" s="84"/>
      <c r="C51" s="102"/>
      <c r="D51" s="103"/>
      <c r="F51" s="105"/>
    </row>
    <row r="52" spans="1:6" ht="15.75">
      <c r="A52" s="83"/>
      <c r="B52" s="84" t="s">
        <v>64</v>
      </c>
      <c r="C52" s="99" t="s">
        <v>72</v>
      </c>
      <c r="F52" s="22"/>
    </row>
    <row r="53" spans="1:5" ht="15.75">
      <c r="A53" s="106" t="s">
        <v>29</v>
      </c>
      <c r="B53" s="107">
        <f>$B$39+$F$70</f>
        <v>477.0770566144335</v>
      </c>
      <c r="C53" s="100" t="s">
        <v>72</v>
      </c>
      <c r="E53" s="22"/>
    </row>
    <row r="54" spans="1:5" ht="15.75">
      <c r="A54" s="85" t="s">
        <v>30</v>
      </c>
      <c r="B54" s="107">
        <f>$B$40+$F$71</f>
        <v>23.853852830721696</v>
      </c>
      <c r="C54" s="100" t="s">
        <v>72</v>
      </c>
      <c r="E54" s="22"/>
    </row>
    <row r="55" spans="1:7" ht="18">
      <c r="A55" s="85" t="s">
        <v>32</v>
      </c>
      <c r="B55" s="108">
        <f>$B$41+$F$72</f>
        <v>154.43301478717896</v>
      </c>
      <c r="C55" s="97" t="s">
        <v>73</v>
      </c>
      <c r="D55" s="81"/>
      <c r="E55" s="96"/>
      <c r="F55" s="81"/>
      <c r="G55" s="81"/>
    </row>
    <row r="56" spans="1:9" ht="18">
      <c r="A56" s="85" t="s">
        <v>33</v>
      </c>
      <c r="B56" s="107">
        <f>$B$42+$F$73</f>
        <v>711.9046320313843</v>
      </c>
      <c r="C56" s="100" t="s">
        <v>72</v>
      </c>
      <c r="D56" s="124" t="s">
        <v>78</v>
      </c>
      <c r="E56" s="112">
        <v>2</v>
      </c>
      <c r="F56" s="114" t="s">
        <v>81</v>
      </c>
      <c r="G56" s="94">
        <f>(E56/100)*B56</f>
        <v>14.238092640627686</v>
      </c>
      <c r="H56" s="95" t="s">
        <v>72</v>
      </c>
      <c r="I56" s="95"/>
    </row>
    <row r="57" spans="1:9" ht="18">
      <c r="A57" s="85" t="s">
        <v>66</v>
      </c>
      <c r="B57" s="107">
        <f>$B$43-$F$67</f>
        <v>1070.5240777838642</v>
      </c>
      <c r="C57" s="100" t="s">
        <v>72</v>
      </c>
      <c r="D57" s="125" t="s">
        <v>79</v>
      </c>
      <c r="E57" s="112">
        <v>0.5</v>
      </c>
      <c r="F57" s="114" t="s">
        <v>82</v>
      </c>
      <c r="G57" s="94">
        <f>(E57/100)*B57</f>
        <v>5.352620388919321</v>
      </c>
      <c r="H57" s="95" t="s">
        <v>72</v>
      </c>
      <c r="I57" s="95"/>
    </row>
    <row r="58" spans="1:9" ht="18">
      <c r="A58" s="85" t="s">
        <v>70</v>
      </c>
      <c r="B58" s="109">
        <f>B45*SUM(B53:B56)/(SUM(B39:B42))</f>
        <v>8.739933623835517</v>
      </c>
      <c r="C58" s="100" t="s">
        <v>75</v>
      </c>
      <c r="D58" s="124" t="s">
        <v>80</v>
      </c>
      <c r="E58" s="113">
        <v>60</v>
      </c>
      <c r="F58" s="114" t="s">
        <v>83</v>
      </c>
      <c r="G58" s="94">
        <f>(E58/100)*B58</f>
        <v>5.24396017430131</v>
      </c>
      <c r="H58" s="95" t="s">
        <v>72</v>
      </c>
      <c r="I58" s="95"/>
    </row>
    <row r="59" spans="1:9" ht="15.75">
      <c r="A59" s="85" t="s">
        <v>34</v>
      </c>
      <c r="B59" s="107">
        <f>SUM(B53:B58)</f>
        <v>2446.532567671418</v>
      </c>
      <c r="C59" s="100" t="s">
        <v>72</v>
      </c>
      <c r="D59" s="91"/>
      <c r="E59" s="92"/>
      <c r="F59" s="89" t="s">
        <v>71</v>
      </c>
      <c r="G59" s="115">
        <f>SUM(G56:G58)</f>
        <v>24.83467320384832</v>
      </c>
      <c r="H59" s="116" t="s">
        <v>84</v>
      </c>
      <c r="I59" s="90"/>
    </row>
    <row r="60" spans="1:4" ht="15.75">
      <c r="A60" s="110" t="s">
        <v>76</v>
      </c>
      <c r="B60" s="126">
        <f>B55-G59</f>
        <v>129.59834158333064</v>
      </c>
      <c r="C60" s="100" t="s">
        <v>72</v>
      </c>
      <c r="D60" s="93"/>
    </row>
    <row r="61" spans="2:6" ht="15.75">
      <c r="B61" s="111" t="s">
        <v>35</v>
      </c>
      <c r="F61" s="26"/>
    </row>
    <row r="62" spans="2:6" ht="12.75">
      <c r="B62" s="17"/>
      <c r="F62" s="26"/>
    </row>
    <row r="63" spans="1:2" ht="18.75" thickBot="1">
      <c r="A63" s="30"/>
      <c r="B63" s="98" t="s">
        <v>74</v>
      </c>
    </row>
    <row r="64" spans="1:9" ht="13.5" thickTop="1">
      <c r="A64" s="51"/>
      <c r="B64" s="52"/>
      <c r="C64" s="52"/>
      <c r="D64" s="52"/>
      <c r="E64" s="79" t="s">
        <v>36</v>
      </c>
      <c r="F64" s="52"/>
      <c r="G64" s="52"/>
      <c r="H64" s="52"/>
      <c r="I64" s="53"/>
    </row>
    <row r="65" spans="1:9" ht="12.75" customHeight="1">
      <c r="A65" s="80"/>
      <c r="B65" s="75"/>
      <c r="C65" s="75"/>
      <c r="D65" s="76"/>
      <c r="E65" s="77">
        <f>B50</f>
        <v>2</v>
      </c>
      <c r="F65" s="78" t="s">
        <v>37</v>
      </c>
      <c r="G65" s="32"/>
      <c r="H65" s="32"/>
      <c r="I65" s="55"/>
    </row>
    <row r="66" spans="1:9" ht="12.75">
      <c r="A66" s="54"/>
      <c r="B66" s="33"/>
      <c r="C66" s="32"/>
      <c r="D66" s="33"/>
      <c r="E66" s="34" t="s">
        <v>38</v>
      </c>
      <c r="F66" s="34" t="s">
        <v>39</v>
      </c>
      <c r="G66" s="32"/>
      <c r="H66" s="32"/>
      <c r="I66" s="55"/>
    </row>
    <row r="67" spans="1:9" ht="12.75">
      <c r="A67" s="54"/>
      <c r="B67" s="32"/>
      <c r="C67" s="32"/>
      <c r="D67" s="35"/>
      <c r="E67" s="36">
        <f>F67/2.65</f>
        <v>8.244313267492217</v>
      </c>
      <c r="F67" s="37">
        <f>(E65/100)*B43</f>
        <v>21.847430158854372</v>
      </c>
      <c r="G67" s="38" t="s">
        <v>40</v>
      </c>
      <c r="H67" s="32"/>
      <c r="I67" s="55"/>
    </row>
    <row r="68" spans="1:9" ht="12.75">
      <c r="A68" s="54"/>
      <c r="B68" s="19"/>
      <c r="C68" s="32"/>
      <c r="D68" s="39" t="s">
        <v>41</v>
      </c>
      <c r="E68" s="35"/>
      <c r="F68" s="40"/>
      <c r="G68" s="32"/>
      <c r="H68" s="32"/>
      <c r="I68" s="55"/>
    </row>
    <row r="69" spans="1:9" ht="12.75">
      <c r="A69" s="56" t="s">
        <v>42</v>
      </c>
      <c r="B69" s="32"/>
      <c r="C69" s="23" t="s">
        <v>43</v>
      </c>
      <c r="D69" s="41" t="s">
        <v>44</v>
      </c>
      <c r="E69" s="41"/>
      <c r="F69" s="42" t="s">
        <v>45</v>
      </c>
      <c r="G69" s="32"/>
      <c r="H69" s="32"/>
      <c r="I69" s="55"/>
    </row>
    <row r="70" spans="1:9" ht="12.75">
      <c r="A70" s="57">
        <v>3.15</v>
      </c>
      <c r="B70" s="33" t="s">
        <v>46</v>
      </c>
      <c r="C70" s="35">
        <v>1</v>
      </c>
      <c r="D70" s="35">
        <f>C70/A70</f>
        <v>0.31746031746031744</v>
      </c>
      <c r="E70" s="41"/>
      <c r="F70" s="35">
        <f>($E$67/$D$74)*C70</f>
        <v>6.551400109010832</v>
      </c>
      <c r="G70" s="43" t="s">
        <v>47</v>
      </c>
      <c r="H70" s="65"/>
      <c r="I70" s="55"/>
    </row>
    <row r="71" spans="1:9" ht="12.75">
      <c r="A71" s="57">
        <v>2.2</v>
      </c>
      <c r="B71" s="33" t="s">
        <v>48</v>
      </c>
      <c r="C71" s="35">
        <f>B40/B39</f>
        <v>0.050000000000000044</v>
      </c>
      <c r="D71" s="35">
        <f>C71/A71</f>
        <v>0.022727272727272745</v>
      </c>
      <c r="E71" s="41"/>
      <c r="F71" s="35">
        <f>($E$67/$D$74)*C71</f>
        <v>0.3275700054505419</v>
      </c>
      <c r="G71" s="43" t="s">
        <v>49</v>
      </c>
      <c r="H71" s="65"/>
      <c r="I71" s="55"/>
    </row>
    <row r="72" spans="1:9" ht="12.75">
      <c r="A72" s="57">
        <v>1</v>
      </c>
      <c r="B72" s="33" t="s">
        <v>50</v>
      </c>
      <c r="C72" s="35">
        <f>B41/B39</f>
        <v>0.32370664790109455</v>
      </c>
      <c r="D72" s="35">
        <f>C72/A72</f>
        <v>0.32370664790109455</v>
      </c>
      <c r="E72" s="41"/>
      <c r="F72" s="35">
        <f>($E$67/$D$74)*C72</f>
        <v>2.1207317683467615</v>
      </c>
      <c r="G72" s="43" t="s">
        <v>50</v>
      </c>
      <c r="H72" s="65"/>
      <c r="I72" s="55"/>
    </row>
    <row r="73" spans="1:9" ht="12.75">
      <c r="A73" s="57">
        <v>2.51</v>
      </c>
      <c r="B73" s="33" t="s">
        <v>51</v>
      </c>
      <c r="C73" s="35">
        <f>B42/B39</f>
        <v>1.492221481123824</v>
      </c>
      <c r="D73" s="35">
        <f>C73/A73</f>
        <v>0.5945105502485355</v>
      </c>
      <c r="E73" s="41" t="s">
        <v>52</v>
      </c>
      <c r="F73" s="35">
        <f>($E$67/$D$74)*C73</f>
        <v>9.776139974102925</v>
      </c>
      <c r="G73" s="43" t="s">
        <v>51</v>
      </c>
      <c r="H73" s="65"/>
      <c r="I73" s="55"/>
    </row>
    <row r="74" spans="1:9" ht="12.75">
      <c r="A74" s="54"/>
      <c r="B74" s="44" t="s">
        <v>53</v>
      </c>
      <c r="C74" s="45">
        <f>SUM(C70:C73)</f>
        <v>2.8659281290249186</v>
      </c>
      <c r="D74" s="45">
        <f>SUM(D70:D73)</f>
        <v>1.2584047883372202</v>
      </c>
      <c r="E74" s="46">
        <f>C74/D74</f>
        <v>2.277429453214162</v>
      </c>
      <c r="F74" s="45">
        <f>SUM(F70:F73)</f>
        <v>18.77584185691106</v>
      </c>
      <c r="G74" s="47" t="s">
        <v>53</v>
      </c>
      <c r="H74" s="48"/>
      <c r="I74" s="55"/>
    </row>
    <row r="75" spans="1:9" ht="12.75">
      <c r="A75" s="54"/>
      <c r="B75" s="32"/>
      <c r="C75" s="19" t="s">
        <v>54</v>
      </c>
      <c r="D75" s="33" t="s">
        <v>55</v>
      </c>
      <c r="E75" s="32" t="s">
        <v>56</v>
      </c>
      <c r="F75" s="47" t="s">
        <v>57</v>
      </c>
      <c r="G75" s="32"/>
      <c r="H75" s="32"/>
      <c r="I75" s="55"/>
    </row>
    <row r="76" spans="1:9" ht="12.75">
      <c r="A76" s="54"/>
      <c r="B76" s="32"/>
      <c r="C76" s="32"/>
      <c r="D76" s="32"/>
      <c r="E76" s="32"/>
      <c r="F76" s="32"/>
      <c r="G76" s="32"/>
      <c r="H76" s="32"/>
      <c r="I76" s="55"/>
    </row>
    <row r="77" spans="1:9" ht="12.75">
      <c r="A77" s="54"/>
      <c r="B77" s="32"/>
      <c r="C77" s="32"/>
      <c r="D77" s="32"/>
      <c r="E77" s="32"/>
      <c r="F77" s="49">
        <f>F74/E74</f>
        <v>8.244313267492217</v>
      </c>
      <c r="G77" s="50" t="s">
        <v>58</v>
      </c>
      <c r="H77" s="32"/>
      <c r="I77" s="55"/>
    </row>
    <row r="78" spans="1:9" ht="13.5" thickBot="1">
      <c r="A78" s="58"/>
      <c r="B78" s="59"/>
      <c r="C78" s="59"/>
      <c r="D78" s="59"/>
      <c r="E78" s="59"/>
      <c r="F78" s="60"/>
      <c r="G78" s="59"/>
      <c r="H78" s="59"/>
      <c r="I78" s="61"/>
    </row>
    <row r="79" ht="13.5" thickTop="1"/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pc</cp:lastModifiedBy>
  <dcterms:created xsi:type="dcterms:W3CDTF">1997-01-10T22:22:50Z</dcterms:created>
  <dcterms:modified xsi:type="dcterms:W3CDTF">2012-06-12T13:50:49Z</dcterms:modified>
  <cp:category/>
  <cp:version/>
  <cp:contentType/>
  <cp:contentStatus/>
</cp:coreProperties>
</file>