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z\Documents\Internet\Moniz\matconst2\"/>
    </mc:Choice>
  </mc:AlternateContent>
  <bookViews>
    <workbookView xWindow="240" yWindow="72" windowWidth="12240" windowHeight="8508"/>
  </bookViews>
  <sheets>
    <sheet name="Traço em massa" sheetId="1" r:id="rId1"/>
    <sheet name="Consumo de materiais" sheetId="4" r:id="rId2"/>
    <sheet name="Dosagem Experimental" sheetId="5" r:id="rId3"/>
  </sheets>
  <definedNames>
    <definedName name="_xlnm.Print_Area" localSheetId="2">'Dosagem Experimental'!$A$3:$F$20</definedName>
    <definedName name="_xlnm.Print_Area" localSheetId="0">'Traço em massa'!$A:$L</definedName>
  </definedNames>
  <calcPr calcId="152511"/>
</workbook>
</file>

<file path=xl/calcChain.xml><?xml version="1.0" encoding="utf-8"?>
<calcChain xmlns="http://schemas.openxmlformats.org/spreadsheetml/2006/main">
  <c r="F11" i="1" l="1"/>
  <c r="D24" i="5"/>
  <c r="B15" i="5"/>
  <c r="F7" i="5"/>
  <c r="F15" i="5" s="1"/>
  <c r="F6" i="5"/>
  <c r="B18" i="5"/>
  <c r="F4" i="1" l="1"/>
  <c r="F6" i="4"/>
  <c r="B6" i="4"/>
  <c r="B4" i="4"/>
  <c r="D4" i="4" l="1"/>
  <c r="K5" i="1"/>
  <c r="F5" i="1"/>
  <c r="F3" i="1"/>
  <c r="F6" i="1" l="1"/>
  <c r="D6" i="4" s="1"/>
  <c r="F7" i="1"/>
  <c r="B9" i="4"/>
  <c r="B15" i="4" s="1"/>
  <c r="D13" i="5" s="1"/>
  <c r="D17" i="5" s="1"/>
  <c r="J5" i="1"/>
  <c r="B7" i="4"/>
  <c r="B13" i="4" s="1"/>
  <c r="F8" i="1"/>
  <c r="F9" i="1" s="1"/>
  <c r="B13" i="5" l="1"/>
  <c r="B17" i="5" s="1"/>
  <c r="D18" i="5" s="1"/>
  <c r="F13" i="4"/>
  <c r="B10" i="4"/>
  <c r="B16" i="4" s="1"/>
  <c r="E13" i="5" s="1"/>
  <c r="E17" i="5" s="1"/>
  <c r="E18" i="5" s="1"/>
  <c r="E6" i="4"/>
  <c r="I3" i="1"/>
  <c r="C6" i="4"/>
  <c r="B8" i="4"/>
  <c r="B14" i="4" s="1"/>
  <c r="C13" i="5" s="1"/>
  <c r="C20" i="5" l="1"/>
  <c r="C17" i="5"/>
  <c r="C18" i="5" s="1"/>
  <c r="C19" i="5" s="1"/>
  <c r="F13" i="5"/>
  <c r="F17" i="5" s="1"/>
  <c r="F18" i="5" s="1"/>
  <c r="B6" i="5"/>
  <c r="B7" i="5" l="1"/>
  <c r="D26" i="5"/>
  <c r="B8" i="5" l="1"/>
  <c r="D7" i="5" s="1"/>
  <c r="D6" i="5"/>
</calcChain>
</file>

<file path=xl/sharedStrings.xml><?xml version="1.0" encoding="utf-8"?>
<sst xmlns="http://schemas.openxmlformats.org/spreadsheetml/2006/main" count="104" uniqueCount="79">
  <si>
    <t>Traço ABCP</t>
  </si>
  <si>
    <t>a/c</t>
  </si>
  <si>
    <t>sd</t>
  </si>
  <si>
    <t>fc28</t>
  </si>
  <si>
    <t>Abatimento</t>
  </si>
  <si>
    <t xml:space="preserve">MPa </t>
  </si>
  <si>
    <t>cm</t>
  </si>
  <si>
    <t>Ca</t>
  </si>
  <si>
    <t>Cc</t>
  </si>
  <si>
    <t>l/m³</t>
  </si>
  <si>
    <t>kg</t>
  </si>
  <si>
    <t>Vb</t>
  </si>
  <si>
    <t>Cb</t>
  </si>
  <si>
    <t>gama_uc</t>
  </si>
  <si>
    <t>kg/m³</t>
  </si>
  <si>
    <t>Cb0</t>
  </si>
  <si>
    <t>Cb1</t>
  </si>
  <si>
    <t>gama_real</t>
  </si>
  <si>
    <t>Agregado Graúdo</t>
  </si>
  <si>
    <t>m³/m³</t>
  </si>
  <si>
    <t>Cm</t>
  </si>
  <si>
    <t>Vm</t>
  </si>
  <si>
    <t>gama_c</t>
  </si>
  <si>
    <t>Agregado Miúdo</t>
  </si>
  <si>
    <t>MF</t>
  </si>
  <si>
    <t>Dmax</t>
  </si>
  <si>
    <t>mm</t>
  </si>
  <si>
    <t>Tabela ABCP</t>
  </si>
  <si>
    <t>Concreto e cimento</t>
  </si>
  <si>
    <t>m³</t>
  </si>
  <si>
    <t>Cálculos  - traço em massa</t>
  </si>
  <si>
    <t>Traço em massa:</t>
  </si>
  <si>
    <t>Cc =</t>
  </si>
  <si>
    <t>areia</t>
  </si>
  <si>
    <t>B0</t>
  </si>
  <si>
    <t>B1</t>
  </si>
  <si>
    <t>água</t>
  </si>
  <si>
    <t/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</si>
  <si>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</rPr>
      <t>=</t>
    </r>
  </si>
  <si>
    <t>=(Cc+Cm)/(Cc+Cm+Cb)</t>
  </si>
  <si>
    <t>Consumo de materiais para concreto</t>
  </si>
  <si>
    <t>CP</t>
  </si>
  <si>
    <t>Volume=</t>
  </si>
  <si>
    <t>litros</t>
  </si>
  <si>
    <t>Traço =</t>
  </si>
  <si>
    <t>Cc=</t>
  </si>
  <si>
    <t>Cm=</t>
  </si>
  <si>
    <t>Cb0=</t>
  </si>
  <si>
    <t>Cb1=</t>
  </si>
  <si>
    <t>Reserva=</t>
  </si>
  <si>
    <t>Peso cim=</t>
  </si>
  <si>
    <t>Peso_areia=</t>
  </si>
  <si>
    <t>Peso_B0=</t>
  </si>
  <si>
    <t>Peso_B1=</t>
  </si>
  <si>
    <t>fck</t>
  </si>
  <si>
    <t>Iteração</t>
  </si>
  <si>
    <t>Vol Água (L)=</t>
  </si>
  <si>
    <t>Vol água (L)</t>
  </si>
  <si>
    <t>abat obs (cm)</t>
  </si>
  <si>
    <t>Vol água a acrescentar (L)</t>
  </si>
  <si>
    <t>Massa de cimento a acresc (kg)</t>
  </si>
  <si>
    <t>Correção do Abatimento - Popovics</t>
  </si>
  <si>
    <t>Adição de materiais</t>
  </si>
  <si>
    <t>Massa Cim (kg)</t>
  </si>
  <si>
    <t>Massa areia (kg)</t>
  </si>
  <si>
    <t>Massa B0 (kg)</t>
  </si>
  <si>
    <t>Massa B1 (kg)</t>
  </si>
  <si>
    <t>FINAL</t>
  </si>
  <si>
    <t>TRAÇO 1:m</t>
  </si>
  <si>
    <t>inicial</t>
  </si>
  <si>
    <t>Ok!</t>
  </si>
  <si>
    <t>Vol água acrescentado (L)</t>
  </si>
  <si>
    <t>TRAÇO FINAL</t>
  </si>
  <si>
    <t>Massa Fôrma =</t>
  </si>
  <si>
    <t>Massa Fôrma + Concreto =</t>
  </si>
  <si>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</rPr>
      <t>conc</t>
    </r>
    <r>
      <rPr>
        <sz val="11"/>
        <color theme="1"/>
        <rFont val="Calibri"/>
        <family val="2"/>
      </rPr>
      <t>=</t>
    </r>
  </si>
  <si>
    <t>kg/L</t>
  </si>
  <si>
    <r>
      <t>C</t>
    </r>
    <r>
      <rPr>
        <vertAlign val="subscript"/>
        <sz val="11"/>
        <color theme="1"/>
        <rFont val="Calibri"/>
        <family val="2"/>
        <scheme val="minor"/>
      </rPr>
      <t>conc</t>
    </r>
    <r>
      <rPr>
        <sz val="11"/>
        <color theme="1"/>
        <rFont val="Calibri"/>
        <family val="2"/>
        <scheme val="minor"/>
      </rPr>
      <t>=</t>
    </r>
  </si>
  <si>
    <t>Dosagem Experimental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</si>
</sst>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%"/>
    <numFmt numFmtId="167" formatCode="0.0000"/>
  </numFmts>
  <fonts count="10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0" xfId="0" applyFont="1"/>
    <xf numFmtId="0" fontId="0" fillId="6" borderId="1" xfId="0" applyFill="1" applyBorder="1"/>
    <xf numFmtId="164" fontId="0" fillId="4" borderId="1" xfId="0" applyNumberFormat="1" applyFill="1" applyBorder="1"/>
    <xf numFmtId="2" fontId="0" fillId="4" borderId="1" xfId="0" applyNumberFormat="1" applyFill="1" applyBorder="1"/>
    <xf numFmtId="1" fontId="0" fillId="4" borderId="1" xfId="0" applyNumberFormat="1" applyFill="1" applyBorder="1"/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/>
    <xf numFmtId="0" fontId="0" fillId="0" borderId="1" xfId="0" applyFill="1" applyBorder="1"/>
    <xf numFmtId="0" fontId="0" fillId="7" borderId="2" xfId="0" applyFont="1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9" xfId="0" applyFill="1" applyBorder="1"/>
    <xf numFmtId="0" fontId="0" fillId="7" borderId="7" xfId="0" applyFill="1" applyBorder="1" applyAlignment="1">
      <alignment horizontal="right" vertical="top"/>
    </xf>
    <xf numFmtId="164" fontId="0" fillId="7" borderId="8" xfId="0" applyNumberFormat="1" applyFill="1" applyBorder="1" applyAlignment="1">
      <alignment horizontal="center" vertical="top"/>
    </xf>
    <xf numFmtId="0" fontId="0" fillId="7" borderId="8" xfId="0" applyFill="1" applyBorder="1" applyAlignment="1">
      <alignment vertical="top"/>
    </xf>
    <xf numFmtId="9" fontId="0" fillId="4" borderId="1" xfId="0" applyNumberFormat="1" applyFill="1" applyBorder="1"/>
    <xf numFmtId="0" fontId="0" fillId="0" borderId="0" xfId="0" quotePrefix="1"/>
    <xf numFmtId="0" fontId="0" fillId="0" borderId="0" xfId="0" applyAlignment="1">
      <alignment horizontal="right"/>
    </xf>
    <xf numFmtId="164" fontId="0" fillId="0" borderId="0" xfId="0" applyNumberFormat="1"/>
    <xf numFmtId="166" fontId="0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0" fillId="2" borderId="1" xfId="0" quotePrefix="1" applyFill="1" applyBorder="1" applyAlignment="1">
      <alignment vertical="center"/>
    </xf>
    <xf numFmtId="0" fontId="5" fillId="0" borderId="0" xfId="0" applyFont="1"/>
    <xf numFmtId="0" fontId="0" fillId="4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167" fontId="0" fillId="8" borderId="0" xfId="0" applyNumberFormat="1" applyFill="1" applyBorder="1"/>
    <xf numFmtId="0" fontId="0" fillId="8" borderId="0" xfId="0" applyFill="1" applyBorder="1"/>
    <xf numFmtId="164" fontId="0" fillId="8" borderId="0" xfId="0" applyNumberFormat="1" applyFill="1" applyBorder="1"/>
    <xf numFmtId="0" fontId="0" fillId="8" borderId="14" xfId="0" applyFill="1" applyBorder="1"/>
    <xf numFmtId="0" fontId="0" fillId="8" borderId="0" xfId="0" applyFill="1" applyBorder="1" applyAlignment="1">
      <alignment horizontal="center"/>
    </xf>
    <xf numFmtId="164" fontId="0" fillId="8" borderId="0" xfId="0" applyNumberForma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8" borderId="16" xfId="0" applyFill="1" applyBorder="1"/>
    <xf numFmtId="0" fontId="0" fillId="8" borderId="17" xfId="0" applyFill="1" applyBorder="1"/>
    <xf numFmtId="0" fontId="0" fillId="8" borderId="18" xfId="0" applyFill="1" applyBorder="1"/>
    <xf numFmtId="20" fontId="0" fillId="8" borderId="0" xfId="0" applyNumberForma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2" fontId="0" fillId="8" borderId="0" xfId="0" applyNumberFormat="1" applyFill="1" applyBorder="1"/>
    <xf numFmtId="2" fontId="0" fillId="8" borderId="17" xfId="0" applyNumberFormat="1" applyFill="1" applyBorder="1"/>
    <xf numFmtId="0" fontId="0" fillId="8" borderId="0" xfId="0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5" borderId="1" xfId="0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6" fillId="0" borderId="0" xfId="0" applyFont="1" applyAlignment="1">
      <alignment horizontal="right"/>
    </xf>
    <xf numFmtId="2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115" zoomScaleNormal="115" workbookViewId="0">
      <selection activeCell="F18" sqref="F18"/>
    </sheetView>
  </sheetViews>
  <sheetFormatPr defaultRowHeight="14.4" x14ac:dyDescent="0.3"/>
  <cols>
    <col min="1" max="1" width="13.109375" customWidth="1"/>
    <col min="2" max="2" width="9.44140625" bestFit="1" customWidth="1"/>
    <col min="4" max="4" width="13" customWidth="1"/>
    <col min="6" max="6" width="9.44140625" bestFit="1" customWidth="1"/>
    <col min="8" max="8" width="5.33203125" customWidth="1"/>
    <col min="11" max="11" width="8.6640625" customWidth="1"/>
    <col min="13" max="13" width="13.109375" bestFit="1" customWidth="1"/>
  </cols>
  <sheetData>
    <row r="1" spans="1:12" ht="28.8" x14ac:dyDescent="0.55000000000000004">
      <c r="A1" s="6" t="s">
        <v>0</v>
      </c>
    </row>
    <row r="2" spans="1:12" x14ac:dyDescent="0.3">
      <c r="A2" s="7" t="s">
        <v>28</v>
      </c>
      <c r="B2" s="7"/>
      <c r="C2" s="7"/>
      <c r="E2" s="5" t="s">
        <v>30</v>
      </c>
      <c r="F2" s="13"/>
      <c r="G2" s="13"/>
      <c r="I2" s="14" t="s">
        <v>31</v>
      </c>
      <c r="J2" s="15"/>
      <c r="K2" s="15"/>
      <c r="L2" s="16"/>
    </row>
    <row r="3" spans="1:12" ht="15" customHeight="1" x14ac:dyDescent="0.3">
      <c r="A3" s="1" t="s">
        <v>54</v>
      </c>
      <c r="B3" s="5">
        <v>35</v>
      </c>
      <c r="C3" s="1" t="s">
        <v>5</v>
      </c>
      <c r="E3" s="11" t="s">
        <v>3</v>
      </c>
      <c r="F3" s="3">
        <f>ROUND(B3+1.65*B4,2)</f>
        <v>41.6</v>
      </c>
      <c r="G3" s="1" t="s">
        <v>5</v>
      </c>
      <c r="I3" s="68" t="str">
        <f>"1 : "&amp;ROUND(F9/F4,2)&amp; " : "&amp;ROUND(F6/F4,2)&amp;" : "&amp;ROUND(F7/F4,2)&amp;" : "&amp;B5</f>
        <v>1 : 1,64 : 0,9 : 1,36 : 0,45</v>
      </c>
      <c r="J3" s="69"/>
      <c r="K3" s="69"/>
      <c r="L3" s="70"/>
    </row>
    <row r="4" spans="1:12" ht="15" customHeight="1" x14ac:dyDescent="0.3">
      <c r="A4" s="1" t="s">
        <v>2</v>
      </c>
      <c r="B4" s="8">
        <v>4</v>
      </c>
      <c r="C4" s="1" t="s">
        <v>5</v>
      </c>
      <c r="E4" s="11" t="s">
        <v>8</v>
      </c>
      <c r="F4" s="2">
        <f>ROUND(B15/B5,2)</f>
        <v>444.44</v>
      </c>
      <c r="G4" s="1" t="s">
        <v>14</v>
      </c>
      <c r="I4" s="68"/>
      <c r="J4" s="69"/>
      <c r="K4" s="69"/>
      <c r="L4" s="70"/>
    </row>
    <row r="5" spans="1:12" x14ac:dyDescent="0.3">
      <c r="A5" s="1" t="s">
        <v>1</v>
      </c>
      <c r="B5" s="9">
        <v>0.45</v>
      </c>
      <c r="C5" s="1"/>
      <c r="E5" s="11" t="s">
        <v>12</v>
      </c>
      <c r="F5" s="1">
        <f>B16*B13</f>
        <v>1005.0000000000001</v>
      </c>
      <c r="G5" s="1" t="s">
        <v>14</v>
      </c>
      <c r="I5" s="18" t="s">
        <v>32</v>
      </c>
      <c r="J5" s="19">
        <f>F4</f>
        <v>444.44</v>
      </c>
      <c r="K5" s="20" t="str">
        <f>G4</f>
        <v>kg/m³</v>
      </c>
      <c r="L5" s="17"/>
    </row>
    <row r="6" spans="1:12" x14ac:dyDescent="0.3">
      <c r="A6" s="4" t="s">
        <v>4</v>
      </c>
      <c r="B6" s="5">
        <v>6</v>
      </c>
      <c r="C6" s="1" t="s">
        <v>6</v>
      </c>
      <c r="E6" s="11" t="s">
        <v>15</v>
      </c>
      <c r="F6" s="2">
        <f>0.4*F5</f>
        <v>402.00000000000006</v>
      </c>
      <c r="G6" s="1" t="s">
        <v>14</v>
      </c>
    </row>
    <row r="7" spans="1:12" x14ac:dyDescent="0.3">
      <c r="A7" s="1" t="s">
        <v>22</v>
      </c>
      <c r="B7" s="10">
        <v>3100</v>
      </c>
      <c r="C7" s="1" t="s">
        <v>14</v>
      </c>
      <c r="E7" s="11" t="s">
        <v>16</v>
      </c>
      <c r="F7" s="2">
        <f>F5-F6</f>
        <v>603</v>
      </c>
      <c r="G7" s="1" t="s">
        <v>14</v>
      </c>
    </row>
    <row r="8" spans="1:12" x14ac:dyDescent="0.3">
      <c r="A8" s="7" t="s">
        <v>23</v>
      </c>
      <c r="B8" s="7"/>
      <c r="C8" s="7"/>
      <c r="E8" s="11" t="s">
        <v>21</v>
      </c>
      <c r="F8" s="12">
        <f>1-(F4/B7+F5/B14+B15/1000)</f>
        <v>0.27738697504564813</v>
      </c>
      <c r="G8" s="1" t="s">
        <v>29</v>
      </c>
    </row>
    <row r="9" spans="1:12" x14ac:dyDescent="0.3">
      <c r="A9" s="4" t="s">
        <v>24</v>
      </c>
      <c r="B9" s="5">
        <v>2.8</v>
      </c>
      <c r="C9" s="1"/>
      <c r="E9" s="11" t="s">
        <v>20</v>
      </c>
      <c r="F9" s="2">
        <f>F8*B10</f>
        <v>729.52774437005462</v>
      </c>
      <c r="G9" s="1" t="s">
        <v>14</v>
      </c>
    </row>
    <row r="10" spans="1:12" x14ac:dyDescent="0.3">
      <c r="A10" s="1" t="s">
        <v>17</v>
      </c>
      <c r="B10" s="5">
        <v>2630</v>
      </c>
      <c r="C10" s="1" t="s">
        <v>14</v>
      </c>
    </row>
    <row r="11" spans="1:12" x14ac:dyDescent="0.3">
      <c r="A11" s="7" t="s">
        <v>18</v>
      </c>
      <c r="B11" s="7"/>
      <c r="C11" s="7"/>
      <c r="E11" s="26" t="s">
        <v>38</v>
      </c>
      <c r="F11" s="25">
        <f>(F4+F9)/(F4+F9+F5)</f>
        <v>0.53877242901062383</v>
      </c>
      <c r="G11" s="27" t="s">
        <v>39</v>
      </c>
      <c r="H11" s="1"/>
      <c r="I11" s="1"/>
    </row>
    <row r="12" spans="1:12" x14ac:dyDescent="0.3">
      <c r="A12" s="4" t="s">
        <v>25</v>
      </c>
      <c r="B12" s="5">
        <v>19</v>
      </c>
      <c r="C12" s="1" t="s">
        <v>26</v>
      </c>
    </row>
    <row r="13" spans="1:12" x14ac:dyDescent="0.3">
      <c r="A13" s="1" t="s">
        <v>13</v>
      </c>
      <c r="B13" s="5">
        <v>1500</v>
      </c>
      <c r="C13" s="1" t="s">
        <v>14</v>
      </c>
    </row>
    <row r="14" spans="1:12" x14ac:dyDescent="0.3">
      <c r="A14" s="1" t="s">
        <v>17</v>
      </c>
      <c r="B14" s="5">
        <v>2650</v>
      </c>
      <c r="C14" s="1" t="s">
        <v>14</v>
      </c>
    </row>
    <row r="15" spans="1:12" x14ac:dyDescent="0.3">
      <c r="A15" s="4" t="s">
        <v>7</v>
      </c>
      <c r="B15" s="5">
        <v>200</v>
      </c>
      <c r="C15" s="4" t="s">
        <v>9</v>
      </c>
      <c r="D15" t="s">
        <v>27</v>
      </c>
    </row>
    <row r="16" spans="1:12" x14ac:dyDescent="0.3">
      <c r="A16" s="4" t="s">
        <v>11</v>
      </c>
      <c r="B16" s="5">
        <v>0.67</v>
      </c>
      <c r="C16" s="4" t="s">
        <v>19</v>
      </c>
      <c r="D16" t="s">
        <v>27</v>
      </c>
    </row>
    <row r="20" spans="5:7" x14ac:dyDescent="0.3">
      <c r="E20" s="22" t="s">
        <v>37</v>
      </c>
    </row>
    <row r="24" spans="5:7" x14ac:dyDescent="0.3">
      <c r="F24" s="23"/>
      <c r="G24" s="24"/>
    </row>
    <row r="25" spans="5:7" x14ac:dyDescent="0.3">
      <c r="F25" s="23"/>
    </row>
  </sheetData>
  <mergeCells count="1">
    <mergeCell ref="I3:L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50" zoomScaleNormal="150" workbookViewId="0">
      <selection activeCell="D18" sqref="D18"/>
    </sheetView>
  </sheetViews>
  <sheetFormatPr defaultRowHeight="14.4" x14ac:dyDescent="0.3"/>
  <cols>
    <col min="1" max="1" width="11.6640625" bestFit="1" customWidth="1"/>
    <col min="2" max="6" width="8.109375" customWidth="1"/>
  </cols>
  <sheetData>
    <row r="1" spans="1:6" s="28" customFormat="1" ht="21" x14ac:dyDescent="0.4">
      <c r="A1" s="28" t="s">
        <v>40</v>
      </c>
    </row>
    <row r="2" spans="1:6" ht="15" thickBot="1" x14ac:dyDescent="0.35"/>
    <row r="3" spans="1:6" x14ac:dyDescent="0.3">
      <c r="A3" s="29">
        <v>6</v>
      </c>
      <c r="B3" s="30" t="s">
        <v>41</v>
      </c>
      <c r="C3" s="30"/>
      <c r="D3" s="30"/>
      <c r="E3" s="30"/>
      <c r="F3" s="31"/>
    </row>
    <row r="4" spans="1:6" x14ac:dyDescent="0.3">
      <c r="A4" s="32" t="s">
        <v>42</v>
      </c>
      <c r="B4" s="33">
        <f>A3*PI()*(0.15)^2/4*0.3</f>
        <v>3.1808625617596654E-2</v>
      </c>
      <c r="C4" s="34" t="s">
        <v>29</v>
      </c>
      <c r="D4" s="35">
        <f>B4*1000</f>
        <v>31.808625617596654</v>
      </c>
      <c r="E4" s="34" t="s">
        <v>43</v>
      </c>
      <c r="F4" s="36"/>
    </row>
    <row r="5" spans="1:6" x14ac:dyDescent="0.3">
      <c r="A5" s="32"/>
      <c r="B5" s="33"/>
      <c r="C5" s="37" t="s">
        <v>33</v>
      </c>
      <c r="D5" s="38" t="s">
        <v>34</v>
      </c>
      <c r="E5" s="37" t="s">
        <v>35</v>
      </c>
      <c r="F5" s="39" t="s">
        <v>36</v>
      </c>
    </row>
    <row r="6" spans="1:6" x14ac:dyDescent="0.3">
      <c r="A6" s="32" t="s">
        <v>44</v>
      </c>
      <c r="B6" s="44" t="str">
        <f>" 1 :"</f>
        <v xml:space="preserve"> 1 :</v>
      </c>
      <c r="C6" s="40">
        <f>ROUND('Traço em massa'!F9/'Traço em massa'!F4,2)</f>
        <v>1.64</v>
      </c>
      <c r="D6" s="40">
        <f>ROUND('Traço em massa'!F6/'Traço em massa'!F4,2)</f>
        <v>0.9</v>
      </c>
      <c r="E6" s="40">
        <f>ROUND('Traço em massa'!F7/'Traço em massa'!F4,2)</f>
        <v>1.36</v>
      </c>
      <c r="F6" s="45">
        <f>'Traço em massa'!B5</f>
        <v>0.45</v>
      </c>
    </row>
    <row r="7" spans="1:6" x14ac:dyDescent="0.3">
      <c r="A7" s="32" t="s">
        <v>45</v>
      </c>
      <c r="B7" s="35">
        <f>'Traço em massa'!F4</f>
        <v>444.44</v>
      </c>
      <c r="C7" s="34" t="s">
        <v>14</v>
      </c>
      <c r="D7" s="34"/>
      <c r="E7" s="34"/>
      <c r="F7" s="36"/>
    </row>
    <row r="8" spans="1:6" x14ac:dyDescent="0.3">
      <c r="A8" s="32" t="s">
        <v>46</v>
      </c>
      <c r="B8" s="35">
        <f>'Traço em massa'!F9</f>
        <v>729.52774437005462</v>
      </c>
      <c r="C8" s="34" t="s">
        <v>14</v>
      </c>
      <c r="D8" s="34"/>
      <c r="E8" s="34"/>
      <c r="F8" s="36"/>
    </row>
    <row r="9" spans="1:6" x14ac:dyDescent="0.3">
      <c r="A9" s="32" t="s">
        <v>47</v>
      </c>
      <c r="B9" s="35">
        <f>'Traço em massa'!F6</f>
        <v>402.00000000000006</v>
      </c>
      <c r="C9" s="34" t="s">
        <v>14</v>
      </c>
      <c r="D9" s="34"/>
      <c r="E9" s="34"/>
      <c r="F9" s="36"/>
    </row>
    <row r="10" spans="1:6" x14ac:dyDescent="0.3">
      <c r="A10" s="32" t="s">
        <v>48</v>
      </c>
      <c r="B10" s="35">
        <f>'Traço em massa'!F7</f>
        <v>603</v>
      </c>
      <c r="C10" s="34" t="s">
        <v>14</v>
      </c>
      <c r="D10" s="34"/>
      <c r="E10" s="34"/>
      <c r="F10" s="36"/>
    </row>
    <row r="11" spans="1:6" x14ac:dyDescent="0.3">
      <c r="A11" s="32"/>
      <c r="B11" s="34"/>
      <c r="C11" s="34"/>
      <c r="D11" s="34"/>
      <c r="E11" s="34"/>
      <c r="F11" s="36"/>
    </row>
    <row r="12" spans="1:6" x14ac:dyDescent="0.3">
      <c r="A12" s="32" t="s">
        <v>49</v>
      </c>
      <c r="B12" s="21">
        <v>0.25</v>
      </c>
      <c r="C12" s="34"/>
      <c r="D12" s="34"/>
      <c r="E12" s="34"/>
      <c r="F12" s="36"/>
    </row>
    <row r="13" spans="1:6" x14ac:dyDescent="0.3">
      <c r="A13" s="32" t="s">
        <v>50</v>
      </c>
      <c r="B13" s="46">
        <f>ROUNDUP((1+B$12)*B7*B$4,2)</f>
        <v>17.680000000000003</v>
      </c>
      <c r="C13" s="34" t="s">
        <v>10</v>
      </c>
      <c r="D13" s="34"/>
      <c r="E13" s="48" t="s">
        <v>56</v>
      </c>
      <c r="F13" s="36">
        <f>ROUND(B13*F6,2)</f>
        <v>7.96</v>
      </c>
    </row>
    <row r="14" spans="1:6" x14ac:dyDescent="0.3">
      <c r="A14" s="32" t="s">
        <v>51</v>
      </c>
      <c r="B14" s="46">
        <f>ROUNDUP((1+B$12)*B8*B$4,2)</f>
        <v>29.01</v>
      </c>
      <c r="C14" s="34" t="s">
        <v>10</v>
      </c>
      <c r="D14" s="34"/>
      <c r="E14" s="34"/>
      <c r="F14" s="36"/>
    </row>
    <row r="15" spans="1:6" x14ac:dyDescent="0.3">
      <c r="A15" s="32" t="s">
        <v>52</v>
      </c>
      <c r="B15" s="46">
        <f>ROUNDUP((1+B$12)*B9*B$4,2)</f>
        <v>15.99</v>
      </c>
      <c r="C15" s="34" t="s">
        <v>10</v>
      </c>
      <c r="D15" s="34"/>
      <c r="E15" s="34"/>
      <c r="F15" s="36"/>
    </row>
    <row r="16" spans="1:6" ht="15" thickBot="1" x14ac:dyDescent="0.35">
      <c r="A16" s="41" t="s">
        <v>53</v>
      </c>
      <c r="B16" s="47">
        <f>ROUNDUP((1+B$12)*B10*B$4,2)</f>
        <v>23.98</v>
      </c>
      <c r="C16" s="42" t="s">
        <v>10</v>
      </c>
      <c r="D16" s="42"/>
      <c r="E16" s="42"/>
      <c r="F16" s="43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C28" sqref="C28"/>
    </sheetView>
  </sheetViews>
  <sheetFormatPr defaultColWidth="9.109375" defaultRowHeight="14.4" x14ac:dyDescent="0.3"/>
  <cols>
    <col min="1" max="1" width="14.33203125" style="49" customWidth="1"/>
    <col min="2" max="2" width="14.33203125" style="49" bestFit="1" customWidth="1"/>
    <col min="3" max="3" width="15.33203125" style="49" bestFit="1" customWidth="1"/>
    <col min="4" max="4" width="23.6640625" style="49" bestFit="1" customWidth="1"/>
    <col min="5" max="5" width="22.21875" style="49" bestFit="1" customWidth="1"/>
    <col min="6" max="6" width="28.5546875" style="49" bestFit="1" customWidth="1"/>
    <col min="7" max="16384" width="9.109375" style="49"/>
  </cols>
  <sheetData>
    <row r="1" spans="1:6" ht="28.8" x14ac:dyDescent="0.3">
      <c r="A1" s="67" t="s">
        <v>78</v>
      </c>
    </row>
    <row r="3" spans="1:6" ht="21" x14ac:dyDescent="0.4">
      <c r="A3" s="66" t="s">
        <v>61</v>
      </c>
      <c r="B3" s="56"/>
    </row>
    <row r="4" spans="1:6" ht="21" x14ac:dyDescent="0.4">
      <c r="A4" s="56"/>
      <c r="B4" s="56"/>
    </row>
    <row r="5" spans="1:6" x14ac:dyDescent="0.3">
      <c r="A5" s="57" t="s">
        <v>55</v>
      </c>
      <c r="B5" s="57" t="s">
        <v>57</v>
      </c>
      <c r="C5" s="51" t="s">
        <v>58</v>
      </c>
      <c r="D5" s="51" t="s">
        <v>59</v>
      </c>
      <c r="E5" s="51" t="s">
        <v>71</v>
      </c>
      <c r="F5" s="54" t="s">
        <v>60</v>
      </c>
    </row>
    <row r="6" spans="1:6" x14ac:dyDescent="0.3">
      <c r="A6" s="58">
        <v>0</v>
      </c>
      <c r="B6" s="58">
        <f>'Consumo de materiais'!F13</f>
        <v>7.96</v>
      </c>
      <c r="C6" s="53">
        <v>1</v>
      </c>
      <c r="D6" s="52">
        <f>B7-B6</f>
        <v>1.5599999999999996</v>
      </c>
      <c r="E6" s="55">
        <v>1</v>
      </c>
      <c r="F6" s="65">
        <f>ROUND(E6/'Traço em massa'!B$5,2)</f>
        <v>2.2200000000000002</v>
      </c>
    </row>
    <row r="7" spans="1:6" x14ac:dyDescent="0.3">
      <c r="A7" s="51">
        <v>1</v>
      </c>
      <c r="B7" s="52">
        <f>ROUND(B6*('Traço em massa'!B6/'Dosagem Experimental'!C6)^0.1,2)</f>
        <v>9.52</v>
      </c>
      <c r="C7" s="52">
        <v>4.5</v>
      </c>
      <c r="D7" s="52">
        <f>B8-B7</f>
        <v>0.28000000000000114</v>
      </c>
      <c r="E7" s="52">
        <v>0.25</v>
      </c>
      <c r="F7" s="65">
        <f>ROUND(E7/'Traço em massa'!B$5,2)</f>
        <v>0.56000000000000005</v>
      </c>
    </row>
    <row r="8" spans="1:6" x14ac:dyDescent="0.3">
      <c r="A8" s="51">
        <v>2</v>
      </c>
      <c r="B8" s="59">
        <f>ROUND(B7*('Traço em massa'!B6/'Dosagem Experimental'!C7)^0.1,2)</f>
        <v>9.8000000000000007</v>
      </c>
      <c r="C8" s="52">
        <v>5.5</v>
      </c>
      <c r="D8" s="49" t="s">
        <v>70</v>
      </c>
    </row>
    <row r="10" spans="1:6" x14ac:dyDescent="0.3">
      <c r="A10" s="50" t="s">
        <v>62</v>
      </c>
    </row>
    <row r="12" spans="1:6" x14ac:dyDescent="0.3">
      <c r="A12" s="57" t="s">
        <v>55</v>
      </c>
      <c r="B12" s="51" t="s">
        <v>63</v>
      </c>
      <c r="C12" s="51" t="s">
        <v>64</v>
      </c>
      <c r="D12" s="51" t="s">
        <v>65</v>
      </c>
      <c r="E12" s="51" t="s">
        <v>66</v>
      </c>
      <c r="F12" s="57" t="s">
        <v>57</v>
      </c>
    </row>
    <row r="13" spans="1:6" x14ac:dyDescent="0.3">
      <c r="A13" s="58">
        <v>0</v>
      </c>
      <c r="B13" s="59">
        <f>'Consumo de materiais'!B13</f>
        <v>17.680000000000003</v>
      </c>
      <c r="C13" s="59">
        <f>'Consumo de materiais'!B14</f>
        <v>29.01</v>
      </c>
      <c r="D13" s="59">
        <f>'Consumo de materiais'!B15</f>
        <v>15.99</v>
      </c>
      <c r="E13" s="59">
        <f>'Consumo de materiais'!B16</f>
        <v>23.98</v>
      </c>
      <c r="F13" s="52">
        <f>'Consumo de materiais'!F13</f>
        <v>7.96</v>
      </c>
    </row>
    <row r="14" spans="1:6" x14ac:dyDescent="0.3">
      <c r="A14" s="51">
        <v>1</v>
      </c>
      <c r="B14" s="52">
        <v>2.2200000000000002</v>
      </c>
      <c r="C14" s="52"/>
      <c r="D14" s="52"/>
      <c r="E14" s="52"/>
      <c r="F14" s="59">
        <v>1</v>
      </c>
    </row>
    <row r="15" spans="1:6" x14ac:dyDescent="0.3">
      <c r="A15" s="51">
        <v>2</v>
      </c>
      <c r="B15" s="52">
        <f>E7</f>
        <v>0.25</v>
      </c>
      <c r="C15" s="52"/>
      <c r="D15" s="52"/>
      <c r="E15" s="52"/>
      <c r="F15" s="59">
        <f>F7</f>
        <v>0.56000000000000005</v>
      </c>
    </row>
    <row r="16" spans="1:6" x14ac:dyDescent="0.3">
      <c r="A16" s="51">
        <v>3</v>
      </c>
      <c r="B16" s="52">
        <v>0</v>
      </c>
      <c r="C16" s="52"/>
      <c r="D16" s="52"/>
      <c r="E16" s="52"/>
      <c r="F16" s="59">
        <v>0</v>
      </c>
    </row>
    <row r="17" spans="1:6" x14ac:dyDescent="0.3">
      <c r="A17" s="51" t="s">
        <v>67</v>
      </c>
      <c r="B17" s="59">
        <f>SUM(B13:B16)</f>
        <v>20.150000000000002</v>
      </c>
      <c r="C17" s="59">
        <f t="shared" ref="C17:F17" si="0">SUM(C13:C16)</f>
        <v>29.01</v>
      </c>
      <c r="D17" s="59">
        <f t="shared" si="0"/>
        <v>15.99</v>
      </c>
      <c r="E17" s="59">
        <f t="shared" si="0"/>
        <v>23.98</v>
      </c>
      <c r="F17" s="59">
        <f t="shared" si="0"/>
        <v>9.5200000000000014</v>
      </c>
    </row>
    <row r="18" spans="1:6" x14ac:dyDescent="0.3">
      <c r="A18" s="61" t="s">
        <v>72</v>
      </c>
      <c r="B18" s="61">
        <f>1</f>
        <v>1</v>
      </c>
      <c r="C18" s="61">
        <f>ROUND(C17/$B17,2)</f>
        <v>1.44</v>
      </c>
      <c r="D18" s="61">
        <f t="shared" ref="D18:F18" si="1">ROUND(D17/$B17,2)</f>
        <v>0.79</v>
      </c>
      <c r="E18" s="61">
        <f t="shared" si="1"/>
        <v>1.19</v>
      </c>
      <c r="F18" s="61">
        <f t="shared" si="1"/>
        <v>0.47</v>
      </c>
    </row>
    <row r="19" spans="1:6" x14ac:dyDescent="0.3">
      <c r="A19" s="11" t="s">
        <v>68</v>
      </c>
      <c r="B19" s="11">
        <v>1</v>
      </c>
      <c r="C19" s="11">
        <f>C18+D18+E18</f>
        <v>3.42</v>
      </c>
    </row>
    <row r="20" spans="1:6" x14ac:dyDescent="0.3">
      <c r="A20" s="11" t="s">
        <v>69</v>
      </c>
      <c r="B20" s="11">
        <v>1</v>
      </c>
      <c r="C20" s="60">
        <f>(C13+D13+E13)/B13</f>
        <v>3.9015837104072393</v>
      </c>
    </row>
    <row r="22" spans="1:6" x14ac:dyDescent="0.3">
      <c r="C22" s="23" t="s">
        <v>73</v>
      </c>
      <c r="D22" s="59">
        <v>6.6</v>
      </c>
      <c r="E22" s="50" t="s">
        <v>10</v>
      </c>
    </row>
    <row r="23" spans="1:6" x14ac:dyDescent="0.3">
      <c r="C23" s="23" t="s">
        <v>74</v>
      </c>
      <c r="D23" s="52">
        <v>18.86</v>
      </c>
      <c r="E23" s="50" t="s">
        <v>10</v>
      </c>
    </row>
    <row r="24" spans="1:6" ht="15.6" x14ac:dyDescent="0.35">
      <c r="C24" s="62" t="s">
        <v>75</v>
      </c>
      <c r="D24" s="63">
        <f>(D23-D22)/(PI()*1.5^2*3/4)</f>
        <v>2.3125802694004585</v>
      </c>
      <c r="E24" s="50" t="s">
        <v>76</v>
      </c>
    </row>
    <row r="26" spans="1:6" ht="15.6" x14ac:dyDescent="0.35">
      <c r="C26" s="23" t="s">
        <v>77</v>
      </c>
      <c r="D26" s="64">
        <f>D24/(1+C19+F18)*1000</f>
        <v>472.92030049089135</v>
      </c>
      <c r="E26" s="50" t="s">
        <v>14</v>
      </c>
    </row>
  </sheetData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Traço em massa</vt:lpstr>
      <vt:lpstr>Consumo de materiais</vt:lpstr>
      <vt:lpstr>Dosagem Experimental</vt:lpstr>
      <vt:lpstr>'Dosagem Experimental'!Area_de_impressao</vt:lpstr>
      <vt:lpstr>'Traço em massa'!Area_de_impressao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Moniz</dc:creator>
  <cp:lastModifiedBy>Moniz</cp:lastModifiedBy>
  <cp:lastPrinted>2013-10-10T14:15:04Z</cp:lastPrinted>
  <dcterms:created xsi:type="dcterms:W3CDTF">2011-09-15T11:25:15Z</dcterms:created>
  <dcterms:modified xsi:type="dcterms:W3CDTF">2013-10-17T15:06:57Z</dcterms:modified>
</cp:coreProperties>
</file>